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By Count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<sst xmlns="http://schemas.openxmlformats.org/spreadsheetml/2006/main" count="139" uniqueCount="127">
  <si>
    <t xml:space="preserve">CaribbeanBudget.com – Revenue Summary (US$)</t>
  </si>
  <si>
    <t xml:space="preserve">Estimates only. Built from the Assumptions and By Country tabs. Real estate shown separately because one sale can outweigh everything else.</t>
  </si>
  <si>
    <t xml:space="preserve">Income stream</t>
  </si>
  <si>
    <t xml:space="preserve">Year 1 (base)</t>
  </si>
  <si>
    <t xml:space="preserve">Year 2 (base)</t>
  </si>
  <si>
    <t xml:space="preserve">Year 1 conservative</t>
  </si>
  <si>
    <t xml:space="preserve">Year 1 strong</t>
  </si>
  <si>
    <t xml:space="preserve">Display ads (AdSense)</t>
  </si>
  <si>
    <t xml:space="preserve">Tool sponsorships</t>
  </si>
  <si>
    <t xml:space="preserve">Featured directory listings</t>
  </si>
  <si>
    <t xml:space="preserve">Newsletter sponsorship</t>
  </si>
  <si>
    <t xml:space="preserve">Mortgage leads to banks</t>
  </si>
  <si>
    <t xml:space="preserve">Workshops</t>
  </si>
  <si>
    <t xml:space="preserve">Paid guides</t>
  </si>
  <si>
    <t xml:space="preserve">Web design leads (Prime Tech)</t>
  </si>
  <si>
    <t xml:space="preserve">Referral fees (buyers sent to other agents)</t>
  </si>
  <si>
    <t xml:space="preserve">Website income (excluding your own sales)</t>
  </si>
  <si>
    <t xml:space="preserve">Your own Bahamas sales from site leads (gross commission)</t>
  </si>
  <si>
    <t xml:space="preserve">TOTAL</t>
  </si>
  <si>
    <t xml:space="preserve">Monthly average, website income only</t>
  </si>
  <si>
    <t xml:space="preserve">CaribbeanBudget.com – Revenue Model Assumptions</t>
  </si>
  <si>
    <t xml:space="preserve">Blue cells (yellow fill) are inputs you can change. Everything else is calculated. All money in US$.</t>
  </si>
  <si>
    <t xml:space="preserve">TRAFFIC &amp; ADS</t>
  </si>
  <si>
    <t xml:space="preserve">Pages viewed per visit</t>
  </si>
  <si>
    <t xml:space="preserve">Typical for a tools site; check Google Analytics after launch</t>
  </si>
  <si>
    <t xml:space="preserve">Year 2 traffic growth (x Year 1)</t>
  </si>
  <si>
    <t xml:space="preserve">Assumes steady SEO, sharing and newsletter growth</t>
  </si>
  <si>
    <t xml:space="preserve">Diaspora / international visitors per month (Y1)</t>
  </si>
  <si>
    <t xml:space="preserve">Caribbean people living in US, Canada, UK</t>
  </si>
  <si>
    <t xml:space="preserve">Ad RPM – diaspora (US$ per 1,000 pageviews)</t>
  </si>
  <si>
    <t xml:space="preserve">Finance niche US/Canada RPM ~$15–40 (weforads.com 2026); lowered for a new site</t>
  </si>
  <si>
    <t xml:space="preserve">SPONSORSHIP &amp; LISTINGS</t>
  </si>
  <si>
    <t xml:space="preserve">Tool sponsor price – Tier A (US$/month)</t>
  </si>
  <si>
    <t xml:space="preserve">Bahamas, Jamaica, Trinidad, Dominican Rep., Puerto Rico</t>
  </si>
  <si>
    <t xml:space="preserve">Tool sponsor price – Tier B (US$/month)</t>
  </si>
  <si>
    <t xml:space="preserve">Cayman, Barbados, Turks &amp; Caicos, Belize, Guyana</t>
  </si>
  <si>
    <t xml:space="preserve">Tool sponsor price – Tier C (US$/month)</t>
  </si>
  <si>
    <t xml:space="preserve">Antigua, St Kitts, Grenada, BVI</t>
  </si>
  <si>
    <t xml:space="preserve">Year 2 sponsorship growth (x Year 1)</t>
  </si>
  <si>
    <t xml:space="preserve">More traffic = more sponsors and higher prices</t>
  </si>
  <si>
    <t xml:space="preserve">Featured directory listing (US$/month)</t>
  </si>
  <si>
    <t xml:space="preserve">Agents, attorneys, brokers, builders</t>
  </si>
  <si>
    <t xml:space="preserve">Year 2 directory growth (x Year 1)</t>
  </si>
  <si>
    <t xml:space="preserve">NEWSLETTER</t>
  </si>
  <si>
    <t xml:space="preserve">Newsletter sponsor price Y1 (US$/issue)</t>
  </si>
  <si>
    <t xml:space="preserve">Realistic at ~1,000 subscribers</t>
  </si>
  <si>
    <t xml:space="preserve">Sponsored issues sold Y1</t>
  </si>
  <si>
    <t xml:space="preserve">Start selling from month 7</t>
  </si>
  <si>
    <t xml:space="preserve">Newsletter sponsor price Y2 (US$/issue)</t>
  </si>
  <si>
    <t xml:space="preserve">At ~3,000 subscribers</t>
  </si>
  <si>
    <t xml:space="preserve">Sponsored issues sold Y2</t>
  </si>
  <si>
    <t xml:space="preserve">OTHER STREAMS</t>
  </si>
  <si>
    <t xml:space="preserve">Mortgage pre-qualification lead price (US$)</t>
  </si>
  <si>
    <t xml:space="preserve">Paid by a partner bank per qualified lead</t>
  </si>
  <si>
    <t xml:space="preserve">Leads sold Y1</t>
  </si>
  <si>
    <t xml:space="preserve">Needs a bank agreement first</t>
  </si>
  <si>
    <t xml:space="preserve">Leads sold Y2</t>
  </si>
  <si>
    <t xml:space="preserve">Workshop fee (US$ per session)</t>
  </si>
  <si>
    <t xml:space="preserve">Employers, schools, churches, credit unions</t>
  </si>
  <si>
    <t xml:space="preserve">Workshops Y1</t>
  </si>
  <si>
    <t xml:space="preserve">Workshops Y2</t>
  </si>
  <si>
    <t xml:space="preserve">Paid guide price (US$)</t>
  </si>
  <si>
    <t xml:space="preserve">e.g. First Home Buyer's Guide per country</t>
  </si>
  <si>
    <t xml:space="preserve">Guides sold Y1</t>
  </si>
  <si>
    <t xml:space="preserve">Guides sold Y2</t>
  </si>
  <si>
    <t xml:space="preserve">Web design projects for Prime Tech Y1</t>
  </si>
  <si>
    <t xml:space="preserve">From "Want a website like this?" link</t>
  </si>
  <si>
    <t xml:space="preserve">Web design projects Y2</t>
  </si>
  <si>
    <t xml:space="preserve">Average web project (US$)</t>
  </si>
  <si>
    <t xml:space="preserve">REAL ESTATE</t>
  </si>
  <si>
    <t xml:space="preserve">Average Bahamas sale price (US$)</t>
  </si>
  <si>
    <t xml:space="preserve">Your own sales from site leads</t>
  </si>
  <si>
    <t xml:space="preserve">Commission rate (developed property)</t>
  </si>
  <si>
    <t xml:space="preserve">Bahamas custom: 6% developed, 10% vacant land</t>
  </si>
  <si>
    <t xml:space="preserve">Own closings from site leads Y1</t>
  </si>
  <si>
    <t xml:space="preserve">Gross commission to the brokerage, before any agent splits</t>
  </si>
  <si>
    <t xml:space="preserve">Own closings from site leads Y2</t>
  </si>
  <si>
    <t xml:space="preserve">Average price, referred-out sales (US$)</t>
  </si>
  <si>
    <t xml:space="preserve">Buyers you pass to agents in other countries</t>
  </si>
  <si>
    <t xml:space="preserve">Receiving agent commission (buyer side)</t>
  </si>
  <si>
    <t xml:space="preserve">Referral fee you receive</t>
  </si>
  <si>
    <t xml:space="preserve">Standard 20–35%, most common 25% (theclose.com 2026)</t>
  </si>
  <si>
    <t xml:space="preserve">Referred-out closings Y1</t>
  </si>
  <si>
    <t xml:space="preserve">Referred-out closings Y2</t>
  </si>
  <si>
    <t xml:space="preserve">SCENARIOS</t>
  </si>
  <si>
    <t xml:space="preserve">Conservative multiplier</t>
  </si>
  <si>
    <t xml:space="preserve">Applied to all non-real-estate income</t>
  </si>
  <si>
    <t xml:space="preserve">Strong multiplier</t>
  </si>
  <si>
    <t xml:space="preserve">Own closings – conservative Y1</t>
  </si>
  <si>
    <t xml:space="preserve">Own closings – strong Y1</t>
  </si>
  <si>
    <t xml:space="preserve">Year 1 and Year 2 estimates by country (base case, US$)</t>
  </si>
  <si>
    <t xml:space="preserve">Blue = inputs. Reach = share of the population visiting each month. Slot-months = tool sponsorships sold × months. Populations rounded (2024–25 estimates).</t>
  </si>
  <si>
    <t xml:space="preserve">Country</t>
  </si>
  <si>
    <t xml:space="preserve">Population</t>
  </si>
  <si>
    <t xml:space="preserve">Tier</t>
  </si>
  <si>
    <t xml:space="preserve">Monthly reach Y1</t>
  </si>
  <si>
    <t xml:space="preserve">Visitors / month Y1</t>
  </si>
  <si>
    <t xml:space="preserve">Ad RPM (US$)</t>
  </si>
  <si>
    <t xml:space="preserve">Ad revenue Y1</t>
  </si>
  <si>
    <t xml:space="preserve">Sponsor slot-months Y1</t>
  </si>
  <si>
    <t xml:space="preserve">Sponsor price / month</t>
  </si>
  <si>
    <t xml:space="preserve">Sponsorship Y1</t>
  </si>
  <si>
    <t xml:space="preserve">Featured listing-months Y1</t>
  </si>
  <si>
    <t xml:space="preserve">Directory Y1</t>
  </si>
  <si>
    <t xml:space="preserve">Total Y1</t>
  </si>
  <si>
    <t xml:space="preserve">Ad revenue Y2</t>
  </si>
  <si>
    <t xml:space="preserve">Sponsorship Y2</t>
  </si>
  <si>
    <t xml:space="preserve">Directory Y2</t>
  </si>
  <si>
    <t xml:space="preserve">Total Y2</t>
  </si>
  <si>
    <t xml:space="preserve">The Bahamas</t>
  </si>
  <si>
    <t xml:space="preserve">A</t>
  </si>
  <si>
    <t xml:space="preserve">Turks &amp; Caicos</t>
  </si>
  <si>
    <t xml:space="preserve">B</t>
  </si>
  <si>
    <t xml:space="preserve">Cayman Islands</t>
  </si>
  <si>
    <t xml:space="preserve">Jamaica</t>
  </si>
  <si>
    <t xml:space="preserve">Dominican Republic</t>
  </si>
  <si>
    <t xml:space="preserve">Puerto Rico</t>
  </si>
  <si>
    <t xml:space="preserve">Trinidad &amp; Tobago</t>
  </si>
  <si>
    <t xml:space="preserve">Barbados</t>
  </si>
  <si>
    <t xml:space="preserve">Belize</t>
  </si>
  <si>
    <t xml:space="preserve">Guyana</t>
  </si>
  <si>
    <t xml:space="preserve">Antigua &amp; Barbuda</t>
  </si>
  <si>
    <t xml:space="preserve">C</t>
  </si>
  <si>
    <t xml:space="preserve">St Kitts &amp; Nevis</t>
  </si>
  <si>
    <t xml:space="preserve">Grenada</t>
  </si>
  <si>
    <t xml:space="preserve">British Virgin Islands</t>
  </si>
  <si>
    <t xml:space="preserve">Diaspora / international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</si>
</sst>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#,##0;\(#,##0\);\-"/>
    <numFmt numFmtId="167" formatCode="0.0\x"/>
    <numFmt numFmtId="168" formatCode="\$#,##0.00"/>
    <numFmt numFmtId="169" formatCode="0.0%"/>
    <numFmt numFmtId="170" formatCode="0.0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2E3D"/>
      <name val="Arial"/>
      <family val="0"/>
      <charset val="1"/>
    </font>
    <font>
      <i val="true"/>
      <sz val="9"/>
      <color rgb="FF5B768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A2E3D"/>
      <name val="Arial"/>
      <family val="0"/>
      <charset val="1"/>
    </font>
    <font>
      <i val="true"/>
      <sz val="11"/>
      <name val="Arial"/>
      <family val="0"/>
      <charset val="1"/>
    </font>
    <font>
      <i val="true"/>
      <sz val="11"/>
      <color rgb="FF5B7682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2E3D"/>
        <bgColor rgb="FF003300"/>
      </patternFill>
    </fill>
    <fill>
      <patternFill patternType="solid">
        <fgColor rgb="FFFBF3E2"/>
        <bgColor rgb="FFFFF2CC"/>
      </patternFill>
    </fill>
    <fill>
      <patternFill patternType="solid">
        <fgColor rgb="FFFFE3A1"/>
        <bgColor rgb="FFFFF2CC"/>
      </patternFill>
    </fill>
    <fill>
      <patternFill patternType="solid">
        <fgColor rgb="FFFFF2CC"/>
        <bgColor rgb="FFFBF3E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F3E2"/>
      <rgbColor rgb="FF99CCFF"/>
      <rgbColor rgb="FFFF99CC"/>
      <rgbColor rgb="FFCC99FF"/>
      <rgbColor rgb="FFFFE3A1"/>
      <rgbColor rgb="FF3366FF"/>
      <rgbColor rgb="FF33CCCC"/>
      <rgbColor rgb="FF99CC00"/>
      <rgbColor rgb="FFFFCC00"/>
      <rgbColor rgb="FFFF9900"/>
      <rgbColor rgb="FFFF6600"/>
      <rgbColor rgb="FF5B7682"/>
      <rgbColor rgb="FF969696"/>
      <rgbColor rgb="FF0A2E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f aca="false">'By Country'!G20</f>
        <v>3139.488</v>
      </c>
      <c r="C5" s="5" t="n">
        <f aca="false">'By Country'!N20</f>
        <v>7848.72</v>
      </c>
      <c r="D5" s="6" t="n">
        <f aca="false">B5*Assumptions!$B$45</f>
        <v>1569.744</v>
      </c>
      <c r="E5" s="6" t="n">
        <f aca="false">B5*Assumptions!$B$46</f>
        <v>6278.976</v>
      </c>
    </row>
    <row r="6" customFormat="false" ht="15" hidden="false" customHeight="false" outlineLevel="0" collapsed="false">
      <c r="A6" s="4" t="s">
        <v>8</v>
      </c>
      <c r="B6" s="5" t="n">
        <f aca="false">'By Country'!J20</f>
        <v>14628</v>
      </c>
      <c r="C6" s="5" t="n">
        <f aca="false">'By Country'!O20</f>
        <v>36570</v>
      </c>
      <c r="D6" s="6" t="n">
        <f aca="false">B6*Assumptions!$B$45</f>
        <v>7314</v>
      </c>
      <c r="E6" s="6" t="n">
        <f aca="false">B6*Assumptions!$B$46</f>
        <v>29256</v>
      </c>
    </row>
    <row r="7" customFormat="false" ht="15" hidden="false" customHeight="false" outlineLevel="0" collapsed="false">
      <c r="A7" s="4" t="s">
        <v>9</v>
      </c>
      <c r="B7" s="5" t="n">
        <f aca="false">'By Country'!L20</f>
        <v>5220</v>
      </c>
      <c r="C7" s="5" t="n">
        <f aca="false">'By Country'!P20</f>
        <v>10440</v>
      </c>
      <c r="D7" s="6" t="n">
        <f aca="false">B7*Assumptions!$B$45</f>
        <v>2610</v>
      </c>
      <c r="E7" s="6" t="n">
        <f aca="false">B7*Assumptions!$B$46</f>
        <v>10440</v>
      </c>
    </row>
    <row r="8" customFormat="false" ht="15" hidden="false" customHeight="false" outlineLevel="0" collapsed="false">
      <c r="A8" s="4" t="s">
        <v>10</v>
      </c>
      <c r="B8" s="5" t="n">
        <f aca="false">Assumptions!$B$17*Assumptions!$B$18</f>
        <v>894</v>
      </c>
      <c r="C8" s="5" t="n">
        <f aca="false">Assumptions!$B$19*Assumptions!$B$20</f>
        <v>3588</v>
      </c>
      <c r="D8" s="6" t="n">
        <f aca="false">B8*Assumptions!$B$45</f>
        <v>447</v>
      </c>
      <c r="E8" s="6" t="n">
        <f aca="false">B8*Assumptions!$B$46</f>
        <v>1788</v>
      </c>
    </row>
    <row r="9" customFormat="false" ht="15" hidden="false" customHeight="false" outlineLevel="0" collapsed="false">
      <c r="A9" s="4" t="s">
        <v>11</v>
      </c>
      <c r="B9" s="5" t="n">
        <f aca="false">Assumptions!$B$22*Assumptions!$B$23</f>
        <v>1200</v>
      </c>
      <c r="C9" s="5" t="n">
        <f aca="false">Assumptions!$B$22*Assumptions!$B$24</f>
        <v>3600</v>
      </c>
      <c r="D9" s="6" t="n">
        <f aca="false">B9*Assumptions!$B$45</f>
        <v>600</v>
      </c>
      <c r="E9" s="6" t="n">
        <f aca="false">B9*Assumptions!$B$46</f>
        <v>2400</v>
      </c>
    </row>
    <row r="10" customFormat="false" ht="15" hidden="false" customHeight="false" outlineLevel="0" collapsed="false">
      <c r="A10" s="4" t="s">
        <v>12</v>
      </c>
      <c r="B10" s="5" t="n">
        <f aca="false">Assumptions!$B$25*Assumptions!$B$26</f>
        <v>3000</v>
      </c>
      <c r="C10" s="5" t="n">
        <f aca="false">Assumptions!$B$25*Assumptions!$B$27</f>
        <v>7500</v>
      </c>
      <c r="D10" s="6" t="n">
        <f aca="false">B10*Assumptions!$B$45</f>
        <v>1500</v>
      </c>
      <c r="E10" s="6" t="n">
        <f aca="false">B10*Assumptions!$B$46</f>
        <v>6000</v>
      </c>
    </row>
    <row r="11" customFormat="false" ht="15" hidden="false" customHeight="false" outlineLevel="0" collapsed="false">
      <c r="A11" s="4" t="s">
        <v>13</v>
      </c>
      <c r="B11" s="5" t="n">
        <f aca="false">Assumptions!$B$28*Assumptions!$B$29</f>
        <v>1498.5</v>
      </c>
      <c r="C11" s="5" t="n">
        <f aca="false">Assumptions!$B$28*Assumptions!$B$30</f>
        <v>4995</v>
      </c>
      <c r="D11" s="6" t="n">
        <f aca="false">B11*Assumptions!$B$45</f>
        <v>749.25</v>
      </c>
      <c r="E11" s="6" t="n">
        <f aca="false">B11*Assumptions!$B$46</f>
        <v>2997</v>
      </c>
    </row>
    <row r="12" customFormat="false" ht="15" hidden="false" customHeight="false" outlineLevel="0" collapsed="false">
      <c r="A12" s="4" t="s">
        <v>14</v>
      </c>
      <c r="B12" s="5" t="n">
        <f aca="false">Assumptions!$B$31*Assumptions!$B$33</f>
        <v>3000</v>
      </c>
      <c r="C12" s="5" t="n">
        <f aca="false">Assumptions!$B$32*Assumptions!$B$33</f>
        <v>6000</v>
      </c>
      <c r="D12" s="6" t="n">
        <f aca="false">B12*Assumptions!$B$45</f>
        <v>1500</v>
      </c>
      <c r="E12" s="6" t="n">
        <f aca="false">B12*Assumptions!$B$46</f>
        <v>6000</v>
      </c>
    </row>
    <row r="13" customFormat="false" ht="15" hidden="false" customHeight="false" outlineLevel="0" collapsed="false">
      <c r="A13" s="4" t="s">
        <v>15</v>
      </c>
      <c r="B13" s="5" t="n">
        <f aca="false">Assumptions!$B$42*Assumptions!$B$39*Assumptions!$B$40*Assumptions!$B$41</f>
        <v>6750</v>
      </c>
      <c r="C13" s="5" t="n">
        <f aca="false">Assumptions!$B$43*Assumptions!$B$39*Assumptions!$B$40*Assumptions!$B$41</f>
        <v>18000</v>
      </c>
      <c r="D13" s="6" t="n">
        <f aca="false">B13*Assumptions!$B$45</f>
        <v>3375</v>
      </c>
      <c r="E13" s="6" t="n">
        <f aca="false">B13*Assumptions!$B$46</f>
        <v>13500</v>
      </c>
    </row>
    <row r="14" customFormat="false" ht="15" hidden="false" customHeight="false" outlineLevel="0" collapsed="false">
      <c r="A14" s="7" t="s">
        <v>16</v>
      </c>
      <c r="B14" s="8" t="n">
        <f aca="false">SUM(B5:B13)</f>
        <v>39329.988</v>
      </c>
      <c r="C14" s="8" t="n">
        <f aca="false">SUM(C5:C13)</f>
        <v>98541.72</v>
      </c>
      <c r="D14" s="8" t="n">
        <f aca="false">SUM(D5:D13)</f>
        <v>19664.994</v>
      </c>
      <c r="E14" s="8" t="n">
        <f aca="false">SUM(E5:E13)</f>
        <v>78659.976</v>
      </c>
    </row>
    <row r="15" customFormat="false" ht="15" hidden="false" customHeight="false" outlineLevel="0" collapsed="false">
      <c r="A15" s="4" t="s">
        <v>17</v>
      </c>
      <c r="B15" s="6" t="n">
        <f aca="false">Assumptions!$B$37*Assumptions!$B$35*Assumptions!$B$36</f>
        <v>24000</v>
      </c>
      <c r="C15" s="6" t="n">
        <f aca="false">Assumptions!$B$38*Assumptions!$B$35*Assumptions!$B$36</f>
        <v>72000</v>
      </c>
      <c r="D15" s="6" t="n">
        <f aca="false">Assumptions!$B$47*Assumptions!$B$35*Assumptions!$B$36</f>
        <v>0</v>
      </c>
      <c r="E15" s="6" t="n">
        <f aca="false">Assumptions!$B$48*Assumptions!$B$35*Assumptions!$B$36</f>
        <v>72000</v>
      </c>
    </row>
    <row r="16" customFormat="false" ht="15" hidden="false" customHeight="false" outlineLevel="0" collapsed="false">
      <c r="A16" s="9" t="s">
        <v>18</v>
      </c>
      <c r="B16" s="10" t="n">
        <f aca="false">B14+B15</f>
        <v>63329.988</v>
      </c>
      <c r="C16" s="10" t="n">
        <f aca="false">C14+C15</f>
        <v>170541.72</v>
      </c>
      <c r="D16" s="10" t="n">
        <f aca="false">D14+D15</f>
        <v>19664.994</v>
      </c>
      <c r="E16" s="10" t="n">
        <f aca="false">E14+E15</f>
        <v>150659.976</v>
      </c>
    </row>
    <row r="18" customFormat="false" ht="15" hidden="false" customHeight="false" outlineLevel="0" collapsed="false">
      <c r="A18" s="11" t="s">
        <v>19</v>
      </c>
      <c r="B18" s="6" t="n">
        <f aca="false">B14/12</f>
        <v>3277.499</v>
      </c>
      <c r="C18" s="6" t="n">
        <f aca="false">C14/12</f>
        <v>8211.81</v>
      </c>
      <c r="D18" s="6" t="n">
        <f aca="false">D14/12</f>
        <v>1638.7495</v>
      </c>
      <c r="E18" s="6" t="n">
        <f aca="false">E14/12</f>
        <v>6554.998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12" t="s">
        <v>21</v>
      </c>
    </row>
    <row r="4" customFormat="false" ht="15" hidden="false" customHeight="false" outlineLevel="0" collapsed="false">
      <c r="A4" s="13" t="s">
        <v>22</v>
      </c>
      <c r="B4" s="14"/>
      <c r="C4" s="14"/>
    </row>
    <row r="5" customFormat="false" ht="15" hidden="false" customHeight="false" outlineLevel="0" collapsed="false">
      <c r="A5" s="4" t="s">
        <v>23</v>
      </c>
      <c r="B5" s="15" t="n">
        <v>3</v>
      </c>
      <c r="C5" s="2" t="s">
        <v>24</v>
      </c>
    </row>
    <row r="6" customFormat="false" ht="15" hidden="false" customHeight="false" outlineLevel="0" collapsed="false">
      <c r="A6" s="4" t="s">
        <v>25</v>
      </c>
      <c r="B6" s="16" t="n">
        <v>2.5</v>
      </c>
      <c r="C6" s="2" t="s">
        <v>26</v>
      </c>
    </row>
    <row r="7" customFormat="false" ht="15" hidden="false" customHeight="false" outlineLevel="0" collapsed="false">
      <c r="A7" s="4" t="s">
        <v>27</v>
      </c>
      <c r="B7" s="15" t="n">
        <v>3000</v>
      </c>
      <c r="C7" s="2" t="s">
        <v>28</v>
      </c>
    </row>
    <row r="8" customFormat="false" ht="15" hidden="false" customHeight="false" outlineLevel="0" collapsed="false">
      <c r="A8" s="4" t="s">
        <v>29</v>
      </c>
      <c r="B8" s="17" t="n">
        <v>12</v>
      </c>
      <c r="C8" s="2" t="s">
        <v>30</v>
      </c>
    </row>
    <row r="9" customFormat="false" ht="15" hidden="false" customHeight="false" outlineLevel="0" collapsed="false">
      <c r="A9" s="13" t="s">
        <v>31</v>
      </c>
      <c r="B9" s="14"/>
      <c r="C9" s="14"/>
    </row>
    <row r="10" customFormat="false" ht="15" hidden="false" customHeight="false" outlineLevel="0" collapsed="false">
      <c r="A10" s="4" t="s">
        <v>32</v>
      </c>
      <c r="B10" s="18" t="n">
        <v>249</v>
      </c>
      <c r="C10" s="2" t="s">
        <v>33</v>
      </c>
    </row>
    <row r="11" customFormat="false" ht="15" hidden="false" customHeight="false" outlineLevel="0" collapsed="false">
      <c r="A11" s="4" t="s">
        <v>34</v>
      </c>
      <c r="B11" s="18" t="n">
        <v>149</v>
      </c>
      <c r="C11" s="2" t="s">
        <v>35</v>
      </c>
    </row>
    <row r="12" customFormat="false" ht="15" hidden="false" customHeight="false" outlineLevel="0" collapsed="false">
      <c r="A12" s="4" t="s">
        <v>36</v>
      </c>
      <c r="B12" s="18" t="n">
        <v>99</v>
      </c>
      <c r="C12" s="2" t="s">
        <v>37</v>
      </c>
    </row>
    <row r="13" customFormat="false" ht="15" hidden="false" customHeight="false" outlineLevel="0" collapsed="false">
      <c r="A13" s="4" t="s">
        <v>38</v>
      </c>
      <c r="B13" s="16" t="n">
        <v>2.5</v>
      </c>
      <c r="C13" s="2" t="s">
        <v>39</v>
      </c>
    </row>
    <row r="14" customFormat="false" ht="15" hidden="false" customHeight="false" outlineLevel="0" collapsed="false">
      <c r="A14" s="4" t="s">
        <v>40</v>
      </c>
      <c r="B14" s="18" t="n">
        <v>29</v>
      </c>
      <c r="C14" s="2" t="s">
        <v>41</v>
      </c>
    </row>
    <row r="15" customFormat="false" ht="15" hidden="false" customHeight="false" outlineLevel="0" collapsed="false">
      <c r="A15" s="4" t="s">
        <v>42</v>
      </c>
      <c r="B15" s="16" t="n">
        <v>2</v>
      </c>
      <c r="C15" s="2"/>
    </row>
    <row r="16" customFormat="false" ht="15" hidden="false" customHeight="false" outlineLevel="0" collapsed="false">
      <c r="A16" s="13" t="s">
        <v>43</v>
      </c>
      <c r="B16" s="14"/>
      <c r="C16" s="14"/>
    </row>
    <row r="17" customFormat="false" ht="15" hidden="false" customHeight="false" outlineLevel="0" collapsed="false">
      <c r="A17" s="4" t="s">
        <v>44</v>
      </c>
      <c r="B17" s="18" t="n">
        <v>149</v>
      </c>
      <c r="C17" s="2" t="s">
        <v>45</v>
      </c>
    </row>
    <row r="18" customFormat="false" ht="15" hidden="false" customHeight="false" outlineLevel="0" collapsed="false">
      <c r="A18" s="4" t="s">
        <v>46</v>
      </c>
      <c r="B18" s="15" t="n">
        <v>6</v>
      </c>
      <c r="C18" s="2" t="s">
        <v>47</v>
      </c>
    </row>
    <row r="19" customFormat="false" ht="15" hidden="false" customHeight="false" outlineLevel="0" collapsed="false">
      <c r="A19" s="4" t="s">
        <v>48</v>
      </c>
      <c r="B19" s="18" t="n">
        <v>299</v>
      </c>
      <c r="C19" s="2" t="s">
        <v>49</v>
      </c>
    </row>
    <row r="20" customFormat="false" ht="15" hidden="false" customHeight="false" outlineLevel="0" collapsed="false">
      <c r="A20" s="4" t="s">
        <v>50</v>
      </c>
      <c r="B20" s="15" t="n">
        <v>12</v>
      </c>
      <c r="C20" s="2"/>
    </row>
    <row r="21" customFormat="false" ht="15" hidden="false" customHeight="false" outlineLevel="0" collapsed="false">
      <c r="A21" s="13" t="s">
        <v>51</v>
      </c>
      <c r="B21" s="14"/>
      <c r="C21" s="14"/>
    </row>
    <row r="22" customFormat="false" ht="15" hidden="false" customHeight="false" outlineLevel="0" collapsed="false">
      <c r="A22" s="4" t="s">
        <v>52</v>
      </c>
      <c r="B22" s="18" t="n">
        <v>40</v>
      </c>
      <c r="C22" s="2" t="s">
        <v>53</v>
      </c>
    </row>
    <row r="23" customFormat="false" ht="15" hidden="false" customHeight="false" outlineLevel="0" collapsed="false">
      <c r="A23" s="4" t="s">
        <v>54</v>
      </c>
      <c r="B23" s="15" t="n">
        <v>30</v>
      </c>
      <c r="C23" s="2" t="s">
        <v>55</v>
      </c>
    </row>
    <row r="24" customFormat="false" ht="15" hidden="false" customHeight="false" outlineLevel="0" collapsed="false">
      <c r="A24" s="4" t="s">
        <v>56</v>
      </c>
      <c r="B24" s="15" t="n">
        <v>90</v>
      </c>
      <c r="C24" s="2"/>
    </row>
    <row r="25" customFormat="false" ht="15" hidden="false" customHeight="false" outlineLevel="0" collapsed="false">
      <c r="A25" s="4" t="s">
        <v>57</v>
      </c>
      <c r="B25" s="18" t="n">
        <v>750</v>
      </c>
      <c r="C25" s="2" t="s">
        <v>58</v>
      </c>
    </row>
    <row r="26" customFormat="false" ht="15" hidden="false" customHeight="false" outlineLevel="0" collapsed="false">
      <c r="A26" s="4" t="s">
        <v>59</v>
      </c>
      <c r="B26" s="15" t="n">
        <v>4</v>
      </c>
      <c r="C26" s="2"/>
    </row>
    <row r="27" customFormat="false" ht="15" hidden="false" customHeight="false" outlineLevel="0" collapsed="false">
      <c r="A27" s="4" t="s">
        <v>60</v>
      </c>
      <c r="B27" s="15" t="n">
        <v>10</v>
      </c>
      <c r="C27" s="2"/>
    </row>
    <row r="28" customFormat="false" ht="15" hidden="false" customHeight="false" outlineLevel="0" collapsed="false">
      <c r="A28" s="4" t="s">
        <v>61</v>
      </c>
      <c r="B28" s="17" t="n">
        <v>9.99</v>
      </c>
      <c r="C28" s="2" t="s">
        <v>62</v>
      </c>
    </row>
    <row r="29" customFormat="false" ht="15" hidden="false" customHeight="false" outlineLevel="0" collapsed="false">
      <c r="A29" s="4" t="s">
        <v>63</v>
      </c>
      <c r="B29" s="15" t="n">
        <v>150</v>
      </c>
      <c r="C29" s="2"/>
    </row>
    <row r="30" customFormat="false" ht="15" hidden="false" customHeight="false" outlineLevel="0" collapsed="false">
      <c r="A30" s="4" t="s">
        <v>64</v>
      </c>
      <c r="B30" s="15" t="n">
        <v>500</v>
      </c>
      <c r="C30" s="2"/>
    </row>
    <row r="31" customFormat="false" ht="15" hidden="false" customHeight="false" outlineLevel="0" collapsed="false">
      <c r="A31" s="4" t="s">
        <v>65</v>
      </c>
      <c r="B31" s="15" t="n">
        <v>2</v>
      </c>
      <c r="C31" s="2" t="s">
        <v>66</v>
      </c>
    </row>
    <row r="32" customFormat="false" ht="15" hidden="false" customHeight="false" outlineLevel="0" collapsed="false">
      <c r="A32" s="4" t="s">
        <v>67</v>
      </c>
      <c r="B32" s="15" t="n">
        <v>4</v>
      </c>
      <c r="C32" s="2"/>
    </row>
    <row r="33" customFormat="false" ht="15" hidden="false" customHeight="false" outlineLevel="0" collapsed="false">
      <c r="A33" s="4" t="s">
        <v>68</v>
      </c>
      <c r="B33" s="18" t="n">
        <v>1500</v>
      </c>
      <c r="C33" s="2"/>
    </row>
    <row r="34" customFormat="false" ht="15" hidden="false" customHeight="false" outlineLevel="0" collapsed="false">
      <c r="A34" s="13" t="s">
        <v>69</v>
      </c>
      <c r="B34" s="14"/>
      <c r="C34" s="14"/>
    </row>
    <row r="35" customFormat="false" ht="15" hidden="false" customHeight="false" outlineLevel="0" collapsed="false">
      <c r="A35" s="4" t="s">
        <v>70</v>
      </c>
      <c r="B35" s="18" t="n">
        <v>400000</v>
      </c>
      <c r="C35" s="2" t="s">
        <v>71</v>
      </c>
    </row>
    <row r="36" customFormat="false" ht="15" hidden="false" customHeight="false" outlineLevel="0" collapsed="false">
      <c r="A36" s="4" t="s">
        <v>72</v>
      </c>
      <c r="B36" s="19" t="n">
        <v>0.06</v>
      </c>
      <c r="C36" s="2" t="s">
        <v>73</v>
      </c>
    </row>
    <row r="37" customFormat="false" ht="15" hidden="false" customHeight="false" outlineLevel="0" collapsed="false">
      <c r="A37" s="4" t="s">
        <v>74</v>
      </c>
      <c r="B37" s="15" t="n">
        <v>1</v>
      </c>
      <c r="C37" s="2" t="s">
        <v>75</v>
      </c>
    </row>
    <row r="38" customFormat="false" ht="15" hidden="false" customHeight="false" outlineLevel="0" collapsed="false">
      <c r="A38" s="4" t="s">
        <v>76</v>
      </c>
      <c r="B38" s="15" t="n">
        <v>3</v>
      </c>
      <c r="C38" s="2"/>
    </row>
    <row r="39" customFormat="false" ht="15" hidden="false" customHeight="false" outlineLevel="0" collapsed="false">
      <c r="A39" s="4" t="s">
        <v>77</v>
      </c>
      <c r="B39" s="18" t="n">
        <v>300000</v>
      </c>
      <c r="C39" s="2" t="s">
        <v>78</v>
      </c>
    </row>
    <row r="40" customFormat="false" ht="15" hidden="false" customHeight="false" outlineLevel="0" collapsed="false">
      <c r="A40" s="4" t="s">
        <v>79</v>
      </c>
      <c r="B40" s="19" t="n">
        <v>0.03</v>
      </c>
      <c r="C40" s="2"/>
    </row>
    <row r="41" customFormat="false" ht="15" hidden="false" customHeight="false" outlineLevel="0" collapsed="false">
      <c r="A41" s="4" t="s">
        <v>80</v>
      </c>
      <c r="B41" s="19" t="n">
        <v>0.25</v>
      </c>
      <c r="C41" s="2" t="s">
        <v>81</v>
      </c>
    </row>
    <row r="42" customFormat="false" ht="15" hidden="false" customHeight="false" outlineLevel="0" collapsed="false">
      <c r="A42" s="4" t="s">
        <v>82</v>
      </c>
      <c r="B42" s="15" t="n">
        <v>3</v>
      </c>
      <c r="C42" s="2"/>
    </row>
    <row r="43" customFormat="false" ht="15" hidden="false" customHeight="false" outlineLevel="0" collapsed="false">
      <c r="A43" s="4" t="s">
        <v>83</v>
      </c>
      <c r="B43" s="15" t="n">
        <v>8</v>
      </c>
      <c r="C43" s="2"/>
    </row>
    <row r="44" customFormat="false" ht="15" hidden="false" customHeight="false" outlineLevel="0" collapsed="false">
      <c r="A44" s="13" t="s">
        <v>84</v>
      </c>
      <c r="B44" s="14"/>
      <c r="C44" s="14"/>
    </row>
    <row r="45" customFormat="false" ht="15" hidden="false" customHeight="false" outlineLevel="0" collapsed="false">
      <c r="A45" s="4" t="s">
        <v>85</v>
      </c>
      <c r="B45" s="16" t="n">
        <v>0.5</v>
      </c>
      <c r="C45" s="2" t="s">
        <v>86</v>
      </c>
    </row>
    <row r="46" customFormat="false" ht="15" hidden="false" customHeight="false" outlineLevel="0" collapsed="false">
      <c r="A46" s="4" t="s">
        <v>87</v>
      </c>
      <c r="B46" s="16" t="n">
        <v>2</v>
      </c>
      <c r="C46" s="2"/>
    </row>
    <row r="47" customFormat="false" ht="15" hidden="false" customHeight="false" outlineLevel="0" collapsed="false">
      <c r="A47" s="4" t="s">
        <v>88</v>
      </c>
      <c r="B47" s="15" t="n">
        <v>0</v>
      </c>
      <c r="C47" s="2"/>
    </row>
    <row r="48" customFormat="false" ht="15" hidden="false" customHeight="false" outlineLevel="0" collapsed="false">
      <c r="A48" s="4" t="s">
        <v>89</v>
      </c>
      <c r="B48" s="15" t="n">
        <v>3</v>
      </c>
      <c r="C4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11"/>
    <col collapsed="false" customWidth="true" hidden="false" outlineLevel="0" max="10" min="10" style="0" width="12"/>
    <col collapsed="false" customWidth="true" hidden="false" outlineLevel="0" max="12" min="11" style="0" width="11"/>
    <col collapsed="false" customWidth="true" hidden="false" outlineLevel="0" max="17" min="13" style="0" width="12"/>
  </cols>
  <sheetData>
    <row r="1" customFormat="false" ht="17.3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4" customFormat="false" ht="43.5" hidden="false" customHeight="true" outlineLevel="0" collapsed="false">
      <c r="A4" s="20" t="s">
        <v>92</v>
      </c>
      <c r="B4" s="20" t="s">
        <v>93</v>
      </c>
      <c r="C4" s="20" t="s">
        <v>94</v>
      </c>
      <c r="D4" s="20" t="s">
        <v>95</v>
      </c>
      <c r="E4" s="20" t="s">
        <v>96</v>
      </c>
      <c r="F4" s="20" t="s">
        <v>97</v>
      </c>
      <c r="G4" s="20" t="s">
        <v>98</v>
      </c>
      <c r="H4" s="20" t="s">
        <v>99</v>
      </c>
      <c r="I4" s="20" t="s">
        <v>100</v>
      </c>
      <c r="J4" s="20" t="s">
        <v>101</v>
      </c>
      <c r="K4" s="20" t="s">
        <v>102</v>
      </c>
      <c r="L4" s="20" t="s">
        <v>103</v>
      </c>
      <c r="M4" s="20" t="s">
        <v>104</v>
      </c>
      <c r="N4" s="20" t="s">
        <v>105</v>
      </c>
      <c r="O4" s="20" t="s">
        <v>106</v>
      </c>
      <c r="P4" s="20" t="s">
        <v>107</v>
      </c>
      <c r="Q4" s="20" t="s">
        <v>108</v>
      </c>
    </row>
    <row r="5" customFormat="false" ht="15" hidden="false" customHeight="false" outlineLevel="0" collapsed="false">
      <c r="A5" s="4" t="s">
        <v>109</v>
      </c>
      <c r="B5" s="15" t="n">
        <v>400000</v>
      </c>
      <c r="C5" s="21" t="s">
        <v>110</v>
      </c>
      <c r="D5" s="22" t="n">
        <v>0.0075</v>
      </c>
      <c r="E5" s="23" t="n">
        <f aca="false">B5*D5</f>
        <v>3000</v>
      </c>
      <c r="F5" s="17" t="n">
        <v>3</v>
      </c>
      <c r="G5" s="6" t="n">
        <f aca="false">E5*Assumptions!$B$5*12/1000*F5</f>
        <v>324</v>
      </c>
      <c r="H5" s="15" t="n">
        <v>24</v>
      </c>
      <c r="I5" s="6" t="n">
        <f aca="false">IF(C5="A",Assumptions!$B$10,IF(C5="B",Assumptions!$B$11,Assumptions!$B$12))</f>
        <v>249</v>
      </c>
      <c r="J5" s="6" t="n">
        <f aca="false">H5*I5</f>
        <v>5976</v>
      </c>
      <c r="K5" s="15" t="n">
        <v>60</v>
      </c>
      <c r="L5" s="6" t="n">
        <f aca="false">K5*Assumptions!$B$14</f>
        <v>1740</v>
      </c>
      <c r="M5" s="6" t="n">
        <f aca="false">G5+J5+L5</f>
        <v>8040</v>
      </c>
      <c r="N5" s="6" t="n">
        <f aca="false">G5*Assumptions!$B$6</f>
        <v>810</v>
      </c>
      <c r="O5" s="6" t="n">
        <f aca="false">J5*Assumptions!$B$13</f>
        <v>14940</v>
      </c>
      <c r="P5" s="6" t="n">
        <f aca="false">L5*Assumptions!$B$15</f>
        <v>3480</v>
      </c>
      <c r="Q5" s="6" t="n">
        <f aca="false">N5+O5+P5</f>
        <v>19230</v>
      </c>
    </row>
    <row r="6" customFormat="false" ht="15" hidden="false" customHeight="false" outlineLevel="0" collapsed="false">
      <c r="A6" s="4" t="s">
        <v>111</v>
      </c>
      <c r="B6" s="15" t="n">
        <v>46000</v>
      </c>
      <c r="C6" s="21" t="s">
        <v>112</v>
      </c>
      <c r="D6" s="22" t="n">
        <v>0.005</v>
      </c>
      <c r="E6" s="23" t="n">
        <f aca="false">B6*D6</f>
        <v>230</v>
      </c>
      <c r="F6" s="17" t="n">
        <v>3</v>
      </c>
      <c r="G6" s="6" t="n">
        <f aca="false">E6*Assumptions!$B$5*12/1000*F6</f>
        <v>24.84</v>
      </c>
      <c r="H6" s="15" t="n">
        <v>6</v>
      </c>
      <c r="I6" s="6" t="n">
        <f aca="false">IF(C6="A",Assumptions!$B$10,IF(C6="B",Assumptions!$B$11,Assumptions!$B$12))</f>
        <v>149</v>
      </c>
      <c r="J6" s="6" t="n">
        <f aca="false">H6*I6</f>
        <v>894</v>
      </c>
      <c r="K6" s="15" t="n">
        <v>12</v>
      </c>
      <c r="L6" s="6" t="n">
        <f aca="false">K6*Assumptions!$B$14</f>
        <v>348</v>
      </c>
      <c r="M6" s="6" t="n">
        <f aca="false">G6+J6+L6</f>
        <v>1266.84</v>
      </c>
      <c r="N6" s="6" t="n">
        <f aca="false">G6*Assumptions!$B$6</f>
        <v>62.1</v>
      </c>
      <c r="O6" s="6" t="n">
        <f aca="false">J6*Assumptions!$B$13</f>
        <v>2235</v>
      </c>
      <c r="P6" s="6" t="n">
        <f aca="false">L6*Assumptions!$B$15</f>
        <v>696</v>
      </c>
      <c r="Q6" s="6" t="n">
        <f aca="false">N6+O6+P6</f>
        <v>2993.1</v>
      </c>
    </row>
    <row r="7" customFormat="false" ht="15" hidden="false" customHeight="false" outlineLevel="0" collapsed="false">
      <c r="A7" s="4" t="s">
        <v>113</v>
      </c>
      <c r="B7" s="15" t="n">
        <v>88000</v>
      </c>
      <c r="C7" s="21" t="s">
        <v>112</v>
      </c>
      <c r="D7" s="22" t="n">
        <v>0.005</v>
      </c>
      <c r="E7" s="23" t="n">
        <f aca="false">B7*D7</f>
        <v>440</v>
      </c>
      <c r="F7" s="17" t="n">
        <v>3</v>
      </c>
      <c r="G7" s="6" t="n">
        <f aca="false">E7*Assumptions!$B$5*12/1000*F7</f>
        <v>47.52</v>
      </c>
      <c r="H7" s="15" t="n">
        <v>6</v>
      </c>
      <c r="I7" s="6" t="n">
        <f aca="false">IF(C7="A",Assumptions!$B$10,IF(C7="B",Assumptions!$B$11,Assumptions!$B$12))</f>
        <v>149</v>
      </c>
      <c r="J7" s="6" t="n">
        <f aca="false">H7*I7</f>
        <v>894</v>
      </c>
      <c r="K7" s="15" t="n">
        <v>12</v>
      </c>
      <c r="L7" s="6" t="n">
        <f aca="false">K7*Assumptions!$B$14</f>
        <v>348</v>
      </c>
      <c r="M7" s="6" t="n">
        <f aca="false">G7+J7+L7</f>
        <v>1289.52</v>
      </c>
      <c r="N7" s="6" t="n">
        <f aca="false">G7*Assumptions!$B$6</f>
        <v>118.8</v>
      </c>
      <c r="O7" s="6" t="n">
        <f aca="false">J7*Assumptions!$B$13</f>
        <v>2235</v>
      </c>
      <c r="P7" s="6" t="n">
        <f aca="false">L7*Assumptions!$B$15</f>
        <v>696</v>
      </c>
      <c r="Q7" s="6" t="n">
        <f aca="false">N7+O7+P7</f>
        <v>3049.8</v>
      </c>
    </row>
    <row r="8" customFormat="false" ht="15" hidden="false" customHeight="false" outlineLevel="0" collapsed="false">
      <c r="A8" s="4" t="s">
        <v>114</v>
      </c>
      <c r="B8" s="15" t="n">
        <v>2800000</v>
      </c>
      <c r="C8" s="21" t="s">
        <v>110</v>
      </c>
      <c r="D8" s="22" t="n">
        <v>0.0015</v>
      </c>
      <c r="E8" s="23" t="n">
        <f aca="false">B8*D8</f>
        <v>4200</v>
      </c>
      <c r="F8" s="17" t="n">
        <v>3</v>
      </c>
      <c r="G8" s="6" t="n">
        <f aca="false">E8*Assumptions!$B$5*12/1000*F8</f>
        <v>453.6</v>
      </c>
      <c r="H8" s="15" t="n">
        <v>12</v>
      </c>
      <c r="I8" s="6" t="n">
        <f aca="false">IF(C8="A",Assumptions!$B$10,IF(C8="B",Assumptions!$B$11,Assumptions!$B$12))</f>
        <v>249</v>
      </c>
      <c r="J8" s="6" t="n">
        <f aca="false">H8*I8</f>
        <v>2988</v>
      </c>
      <c r="K8" s="15" t="n">
        <v>24</v>
      </c>
      <c r="L8" s="6" t="n">
        <f aca="false">K8*Assumptions!$B$14</f>
        <v>696</v>
      </c>
      <c r="M8" s="6" t="n">
        <f aca="false">G8+J8+L8</f>
        <v>4137.6</v>
      </c>
      <c r="N8" s="6" t="n">
        <f aca="false">G8*Assumptions!$B$6</f>
        <v>1134</v>
      </c>
      <c r="O8" s="6" t="n">
        <f aca="false">J8*Assumptions!$B$13</f>
        <v>7470</v>
      </c>
      <c r="P8" s="6" t="n">
        <f aca="false">L8*Assumptions!$B$15</f>
        <v>1392</v>
      </c>
      <c r="Q8" s="6" t="n">
        <f aca="false">N8+O8+P8</f>
        <v>9996</v>
      </c>
    </row>
    <row r="9" customFormat="false" ht="15" hidden="false" customHeight="false" outlineLevel="0" collapsed="false">
      <c r="A9" s="4" t="s">
        <v>115</v>
      </c>
      <c r="B9" s="15" t="n">
        <v>11300000</v>
      </c>
      <c r="C9" s="21" t="s">
        <v>110</v>
      </c>
      <c r="D9" s="22" t="n">
        <v>0.0001</v>
      </c>
      <c r="E9" s="23" t="n">
        <f aca="false">B9*D9</f>
        <v>1130</v>
      </c>
      <c r="F9" s="17" t="n">
        <v>1</v>
      </c>
      <c r="G9" s="6" t="n">
        <f aca="false">E9*Assumptions!$B$5*12/1000*F9</f>
        <v>40.68</v>
      </c>
      <c r="H9" s="15" t="n">
        <v>0</v>
      </c>
      <c r="I9" s="6" t="n">
        <f aca="false">IF(C9="A",Assumptions!$B$10,IF(C9="B",Assumptions!$B$11,Assumptions!$B$12))</f>
        <v>249</v>
      </c>
      <c r="J9" s="6" t="n">
        <f aca="false">H9*I9</f>
        <v>0</v>
      </c>
      <c r="K9" s="15" t="n">
        <v>6</v>
      </c>
      <c r="L9" s="6" t="n">
        <f aca="false">K9*Assumptions!$B$14</f>
        <v>174</v>
      </c>
      <c r="M9" s="6" t="n">
        <f aca="false">G9+J9+L9</f>
        <v>214.68</v>
      </c>
      <c r="N9" s="6" t="n">
        <f aca="false">G9*Assumptions!$B$6</f>
        <v>101.7</v>
      </c>
      <c r="O9" s="6" t="n">
        <f aca="false">J9*Assumptions!$B$13</f>
        <v>0</v>
      </c>
      <c r="P9" s="6" t="n">
        <f aca="false">L9*Assumptions!$B$15</f>
        <v>348</v>
      </c>
      <c r="Q9" s="6" t="n">
        <f aca="false">N9+O9+P9</f>
        <v>449.7</v>
      </c>
    </row>
    <row r="10" customFormat="false" ht="15" hidden="false" customHeight="false" outlineLevel="0" collapsed="false">
      <c r="A10" s="4" t="s">
        <v>116</v>
      </c>
      <c r="B10" s="15" t="n">
        <v>3200000</v>
      </c>
      <c r="C10" s="21" t="s">
        <v>110</v>
      </c>
      <c r="D10" s="22" t="n">
        <v>0.0002</v>
      </c>
      <c r="E10" s="23" t="n">
        <f aca="false">B10*D10</f>
        <v>640</v>
      </c>
      <c r="F10" s="17" t="n">
        <v>8</v>
      </c>
      <c r="G10" s="6" t="n">
        <f aca="false">E10*Assumptions!$B$5*12/1000*F10</f>
        <v>184.32</v>
      </c>
      <c r="H10" s="15" t="n">
        <v>0</v>
      </c>
      <c r="I10" s="6" t="n">
        <f aca="false">IF(C10="A",Assumptions!$B$10,IF(C10="B",Assumptions!$B$11,Assumptions!$B$12))</f>
        <v>249</v>
      </c>
      <c r="J10" s="6" t="n">
        <f aca="false">H10*I10</f>
        <v>0</v>
      </c>
      <c r="K10" s="15" t="n">
        <v>6</v>
      </c>
      <c r="L10" s="6" t="n">
        <f aca="false">K10*Assumptions!$B$14</f>
        <v>174</v>
      </c>
      <c r="M10" s="6" t="n">
        <f aca="false">G10+J10+L10</f>
        <v>358.32</v>
      </c>
      <c r="N10" s="6" t="n">
        <f aca="false">G10*Assumptions!$B$6</f>
        <v>460.8</v>
      </c>
      <c r="O10" s="6" t="n">
        <f aca="false">J10*Assumptions!$B$13</f>
        <v>0</v>
      </c>
      <c r="P10" s="6" t="n">
        <f aca="false">L10*Assumptions!$B$15</f>
        <v>348</v>
      </c>
      <c r="Q10" s="6" t="n">
        <f aca="false">N10+O10+P10</f>
        <v>808.8</v>
      </c>
    </row>
    <row r="11" customFormat="false" ht="15" hidden="false" customHeight="false" outlineLevel="0" collapsed="false">
      <c r="A11" s="4" t="s">
        <v>117</v>
      </c>
      <c r="B11" s="15" t="n">
        <v>1500000</v>
      </c>
      <c r="C11" s="21" t="s">
        <v>110</v>
      </c>
      <c r="D11" s="22" t="n">
        <v>0.0015</v>
      </c>
      <c r="E11" s="23" t="n">
        <f aca="false">B11*D11</f>
        <v>2250</v>
      </c>
      <c r="F11" s="17" t="n">
        <v>3</v>
      </c>
      <c r="G11" s="6" t="n">
        <f aca="false">E11*Assumptions!$B$5*12/1000*F11</f>
        <v>243</v>
      </c>
      <c r="H11" s="15" t="n">
        <v>6</v>
      </c>
      <c r="I11" s="6" t="n">
        <f aca="false">IF(C11="A",Assumptions!$B$10,IF(C11="B",Assumptions!$B$11,Assumptions!$B$12))</f>
        <v>249</v>
      </c>
      <c r="J11" s="6" t="n">
        <f aca="false">H11*I11</f>
        <v>1494</v>
      </c>
      <c r="K11" s="15" t="n">
        <v>12</v>
      </c>
      <c r="L11" s="6" t="n">
        <f aca="false">K11*Assumptions!$B$14</f>
        <v>348</v>
      </c>
      <c r="M11" s="6" t="n">
        <f aca="false">G11+J11+L11</f>
        <v>2085</v>
      </c>
      <c r="N11" s="6" t="n">
        <f aca="false">G11*Assumptions!$B$6</f>
        <v>607.5</v>
      </c>
      <c r="O11" s="6" t="n">
        <f aca="false">J11*Assumptions!$B$13</f>
        <v>3735</v>
      </c>
      <c r="P11" s="6" t="n">
        <f aca="false">L11*Assumptions!$B$15</f>
        <v>696</v>
      </c>
      <c r="Q11" s="6" t="n">
        <f aca="false">N11+O11+P11</f>
        <v>5038.5</v>
      </c>
    </row>
    <row r="12" customFormat="false" ht="15" hidden="false" customHeight="false" outlineLevel="0" collapsed="false">
      <c r="A12" s="4" t="s">
        <v>118</v>
      </c>
      <c r="B12" s="15" t="n">
        <v>282000</v>
      </c>
      <c r="C12" s="21" t="s">
        <v>112</v>
      </c>
      <c r="D12" s="22" t="n">
        <v>0.004</v>
      </c>
      <c r="E12" s="23" t="n">
        <f aca="false">B12*D12</f>
        <v>1128</v>
      </c>
      <c r="F12" s="17" t="n">
        <v>3</v>
      </c>
      <c r="G12" s="6" t="n">
        <f aca="false">E12*Assumptions!$B$5*12/1000*F12</f>
        <v>121.824</v>
      </c>
      <c r="H12" s="15" t="n">
        <v>6</v>
      </c>
      <c r="I12" s="6" t="n">
        <f aca="false">IF(C12="A",Assumptions!$B$10,IF(C12="B",Assumptions!$B$11,Assumptions!$B$12))</f>
        <v>149</v>
      </c>
      <c r="J12" s="6" t="n">
        <f aca="false">H12*I12</f>
        <v>894</v>
      </c>
      <c r="K12" s="15" t="n">
        <v>12</v>
      </c>
      <c r="L12" s="6" t="n">
        <f aca="false">K12*Assumptions!$B$14</f>
        <v>348</v>
      </c>
      <c r="M12" s="6" t="n">
        <f aca="false">G12+J12+L12</f>
        <v>1363.824</v>
      </c>
      <c r="N12" s="6" t="n">
        <f aca="false">G12*Assumptions!$B$6</f>
        <v>304.56</v>
      </c>
      <c r="O12" s="6" t="n">
        <f aca="false">J12*Assumptions!$B$13</f>
        <v>2235</v>
      </c>
      <c r="P12" s="6" t="n">
        <f aca="false">L12*Assumptions!$B$15</f>
        <v>696</v>
      </c>
      <c r="Q12" s="6" t="n">
        <f aca="false">N12+O12+P12</f>
        <v>3235.56</v>
      </c>
    </row>
    <row r="13" customFormat="false" ht="15" hidden="false" customHeight="false" outlineLevel="0" collapsed="false">
      <c r="A13" s="4" t="s">
        <v>119</v>
      </c>
      <c r="B13" s="15" t="n">
        <v>410000</v>
      </c>
      <c r="C13" s="21" t="s">
        <v>112</v>
      </c>
      <c r="D13" s="22" t="n">
        <v>0.003</v>
      </c>
      <c r="E13" s="23" t="n">
        <f aca="false">B13*D13</f>
        <v>1230</v>
      </c>
      <c r="F13" s="17" t="n">
        <v>3</v>
      </c>
      <c r="G13" s="6" t="n">
        <f aca="false">E13*Assumptions!$B$5*12/1000*F13</f>
        <v>132.84</v>
      </c>
      <c r="H13" s="15" t="n">
        <v>3</v>
      </c>
      <c r="I13" s="6" t="n">
        <f aca="false">IF(C13="A",Assumptions!$B$10,IF(C13="B",Assumptions!$B$11,Assumptions!$B$12))</f>
        <v>149</v>
      </c>
      <c r="J13" s="6" t="n">
        <f aca="false">H13*I13</f>
        <v>447</v>
      </c>
      <c r="K13" s="15" t="n">
        <v>12</v>
      </c>
      <c r="L13" s="6" t="n">
        <f aca="false">K13*Assumptions!$B$14</f>
        <v>348</v>
      </c>
      <c r="M13" s="6" t="n">
        <f aca="false">G13+J13+L13</f>
        <v>927.84</v>
      </c>
      <c r="N13" s="6" t="n">
        <f aca="false">G13*Assumptions!$B$6</f>
        <v>332.1</v>
      </c>
      <c r="O13" s="6" t="n">
        <f aca="false">J13*Assumptions!$B$13</f>
        <v>1117.5</v>
      </c>
      <c r="P13" s="6" t="n">
        <f aca="false">L13*Assumptions!$B$15</f>
        <v>696</v>
      </c>
      <c r="Q13" s="6" t="n">
        <f aca="false">N13+O13+P13</f>
        <v>2145.6</v>
      </c>
    </row>
    <row r="14" customFormat="false" ht="15" hidden="false" customHeight="false" outlineLevel="0" collapsed="false">
      <c r="A14" s="4" t="s">
        <v>120</v>
      </c>
      <c r="B14" s="15" t="n">
        <v>830000</v>
      </c>
      <c r="C14" s="21" t="s">
        <v>112</v>
      </c>
      <c r="D14" s="22" t="n">
        <v>0.0015</v>
      </c>
      <c r="E14" s="23" t="n">
        <f aca="false">B14*D14</f>
        <v>1245</v>
      </c>
      <c r="F14" s="17" t="n">
        <v>3</v>
      </c>
      <c r="G14" s="6" t="n">
        <f aca="false">E14*Assumptions!$B$5*12/1000*F14</f>
        <v>134.46</v>
      </c>
      <c r="H14" s="15" t="n">
        <v>3</v>
      </c>
      <c r="I14" s="6" t="n">
        <f aca="false">IF(C14="A",Assumptions!$B$10,IF(C14="B",Assumptions!$B$11,Assumptions!$B$12))</f>
        <v>149</v>
      </c>
      <c r="J14" s="6" t="n">
        <f aca="false">H14*I14</f>
        <v>447</v>
      </c>
      <c r="K14" s="15" t="n">
        <v>6</v>
      </c>
      <c r="L14" s="6" t="n">
        <f aca="false">K14*Assumptions!$B$14</f>
        <v>174</v>
      </c>
      <c r="M14" s="6" t="n">
        <f aca="false">G14+J14+L14</f>
        <v>755.46</v>
      </c>
      <c r="N14" s="6" t="n">
        <f aca="false">G14*Assumptions!$B$6</f>
        <v>336.15</v>
      </c>
      <c r="O14" s="6" t="n">
        <f aca="false">J14*Assumptions!$B$13</f>
        <v>1117.5</v>
      </c>
      <c r="P14" s="6" t="n">
        <f aca="false">L14*Assumptions!$B$15</f>
        <v>348</v>
      </c>
      <c r="Q14" s="6" t="n">
        <f aca="false">N14+O14+P14</f>
        <v>1801.65</v>
      </c>
    </row>
    <row r="15" customFormat="false" ht="15" hidden="false" customHeight="false" outlineLevel="0" collapsed="false">
      <c r="A15" s="4" t="s">
        <v>121</v>
      </c>
      <c r="B15" s="15" t="n">
        <v>94000</v>
      </c>
      <c r="C15" s="21" t="s">
        <v>122</v>
      </c>
      <c r="D15" s="22" t="n">
        <v>0.004</v>
      </c>
      <c r="E15" s="23" t="n">
        <f aca="false">B15*D15</f>
        <v>376</v>
      </c>
      <c r="F15" s="17" t="n">
        <v>3</v>
      </c>
      <c r="G15" s="6" t="n">
        <f aca="false">E15*Assumptions!$B$5*12/1000*F15</f>
        <v>40.608</v>
      </c>
      <c r="H15" s="15" t="n">
        <v>3</v>
      </c>
      <c r="I15" s="6" t="n">
        <f aca="false">IF(C15="A",Assumptions!$B$10,IF(C15="B",Assumptions!$B$11,Assumptions!$B$12))</f>
        <v>99</v>
      </c>
      <c r="J15" s="6" t="n">
        <f aca="false">H15*I15</f>
        <v>297</v>
      </c>
      <c r="K15" s="15" t="n">
        <v>6</v>
      </c>
      <c r="L15" s="6" t="n">
        <f aca="false">K15*Assumptions!$B$14</f>
        <v>174</v>
      </c>
      <c r="M15" s="6" t="n">
        <f aca="false">G15+J15+L15</f>
        <v>511.608</v>
      </c>
      <c r="N15" s="6" t="n">
        <f aca="false">G15*Assumptions!$B$6</f>
        <v>101.52</v>
      </c>
      <c r="O15" s="6" t="n">
        <f aca="false">J15*Assumptions!$B$13</f>
        <v>742.5</v>
      </c>
      <c r="P15" s="6" t="n">
        <f aca="false">L15*Assumptions!$B$15</f>
        <v>348</v>
      </c>
      <c r="Q15" s="6" t="n">
        <f aca="false">N15+O15+P15</f>
        <v>1192.02</v>
      </c>
    </row>
    <row r="16" customFormat="false" ht="15" hidden="false" customHeight="false" outlineLevel="0" collapsed="false">
      <c r="A16" s="4" t="s">
        <v>123</v>
      </c>
      <c r="B16" s="15" t="n">
        <v>47000</v>
      </c>
      <c r="C16" s="21" t="s">
        <v>122</v>
      </c>
      <c r="D16" s="22" t="n">
        <v>0.004</v>
      </c>
      <c r="E16" s="23" t="n">
        <f aca="false">B16*D16</f>
        <v>188</v>
      </c>
      <c r="F16" s="17" t="n">
        <v>3</v>
      </c>
      <c r="G16" s="6" t="n">
        <f aca="false">E16*Assumptions!$B$5*12/1000*F16</f>
        <v>20.304</v>
      </c>
      <c r="H16" s="15" t="n">
        <v>0</v>
      </c>
      <c r="I16" s="6" t="n">
        <f aca="false">IF(C16="A",Assumptions!$B$10,IF(C16="B",Assumptions!$B$11,Assumptions!$B$12))</f>
        <v>99</v>
      </c>
      <c r="J16" s="6" t="n">
        <f aca="false">H16*I16</f>
        <v>0</v>
      </c>
      <c r="K16" s="15" t="n">
        <v>0</v>
      </c>
      <c r="L16" s="6" t="n">
        <f aca="false">K16*Assumptions!$B$14</f>
        <v>0</v>
      </c>
      <c r="M16" s="6" t="n">
        <f aca="false">G16+J16+L16</f>
        <v>20.304</v>
      </c>
      <c r="N16" s="6" t="n">
        <f aca="false">G16*Assumptions!$B$6</f>
        <v>50.76</v>
      </c>
      <c r="O16" s="6" t="n">
        <f aca="false">J16*Assumptions!$B$13</f>
        <v>0</v>
      </c>
      <c r="P16" s="6" t="n">
        <f aca="false">L16*Assumptions!$B$15</f>
        <v>0</v>
      </c>
      <c r="Q16" s="6" t="n">
        <f aca="false">N16+O16+P16</f>
        <v>50.76</v>
      </c>
    </row>
    <row r="17" customFormat="false" ht="15" hidden="false" customHeight="false" outlineLevel="0" collapsed="false">
      <c r="A17" s="4" t="s">
        <v>124</v>
      </c>
      <c r="B17" s="15" t="n">
        <v>126000</v>
      </c>
      <c r="C17" s="21" t="s">
        <v>122</v>
      </c>
      <c r="D17" s="22" t="n">
        <v>0.004</v>
      </c>
      <c r="E17" s="23" t="n">
        <f aca="false">B17*D17</f>
        <v>504</v>
      </c>
      <c r="F17" s="17" t="n">
        <v>3</v>
      </c>
      <c r="G17" s="6" t="n">
        <f aca="false">E17*Assumptions!$B$5*12/1000*F17</f>
        <v>54.432</v>
      </c>
      <c r="H17" s="15" t="n">
        <v>3</v>
      </c>
      <c r="I17" s="6" t="n">
        <f aca="false">IF(C17="A",Assumptions!$B$10,IF(C17="B",Assumptions!$B$11,Assumptions!$B$12))</f>
        <v>99</v>
      </c>
      <c r="J17" s="6" t="n">
        <f aca="false">H17*I17</f>
        <v>297</v>
      </c>
      <c r="K17" s="15" t="n">
        <v>6</v>
      </c>
      <c r="L17" s="6" t="n">
        <f aca="false">K17*Assumptions!$B$14</f>
        <v>174</v>
      </c>
      <c r="M17" s="6" t="n">
        <f aca="false">G17+J17+L17</f>
        <v>525.432</v>
      </c>
      <c r="N17" s="6" t="n">
        <f aca="false">G17*Assumptions!$B$6</f>
        <v>136.08</v>
      </c>
      <c r="O17" s="6" t="n">
        <f aca="false">J17*Assumptions!$B$13</f>
        <v>742.5</v>
      </c>
      <c r="P17" s="6" t="n">
        <f aca="false">L17*Assumptions!$B$15</f>
        <v>348</v>
      </c>
      <c r="Q17" s="6" t="n">
        <f aca="false">N17+O17+P17</f>
        <v>1226.58</v>
      </c>
    </row>
    <row r="18" customFormat="false" ht="15" hidden="false" customHeight="false" outlineLevel="0" collapsed="false">
      <c r="A18" s="4" t="s">
        <v>125</v>
      </c>
      <c r="B18" s="15" t="n">
        <v>39000</v>
      </c>
      <c r="C18" s="21" t="s">
        <v>122</v>
      </c>
      <c r="D18" s="22" t="n">
        <v>0.005</v>
      </c>
      <c r="E18" s="23" t="n">
        <f aca="false">B18*D18</f>
        <v>195</v>
      </c>
      <c r="F18" s="17" t="n">
        <v>3</v>
      </c>
      <c r="G18" s="6" t="n">
        <f aca="false">E18*Assumptions!$B$5*12/1000*F18</f>
        <v>21.06</v>
      </c>
      <c r="H18" s="15" t="n">
        <v>0</v>
      </c>
      <c r="I18" s="6" t="n">
        <f aca="false">IF(C18="A",Assumptions!$B$10,IF(C18="B",Assumptions!$B$11,Assumptions!$B$12))</f>
        <v>99</v>
      </c>
      <c r="J18" s="6" t="n">
        <f aca="false">H18*I18</f>
        <v>0</v>
      </c>
      <c r="K18" s="15" t="n">
        <v>6</v>
      </c>
      <c r="L18" s="6" t="n">
        <f aca="false">K18*Assumptions!$B$14</f>
        <v>174</v>
      </c>
      <c r="M18" s="6" t="n">
        <f aca="false">G18+J18+L18</f>
        <v>195.06</v>
      </c>
      <c r="N18" s="6" t="n">
        <f aca="false">G18*Assumptions!$B$6</f>
        <v>52.65</v>
      </c>
      <c r="O18" s="6" t="n">
        <f aca="false">J18*Assumptions!$B$13</f>
        <v>0</v>
      </c>
      <c r="P18" s="6" t="n">
        <f aca="false">L18*Assumptions!$B$15</f>
        <v>348</v>
      </c>
      <c r="Q18" s="6" t="n">
        <f aca="false">N18+O18+P18</f>
        <v>400.65</v>
      </c>
    </row>
    <row r="19" customFormat="false" ht="15" hidden="false" customHeight="false" outlineLevel="0" collapsed="false">
      <c r="A19" s="4" t="s">
        <v>126</v>
      </c>
      <c r="E19" s="24" t="n">
        <f aca="false">Assumptions!$B$7</f>
        <v>3000</v>
      </c>
      <c r="F19" s="25" t="n">
        <f aca="false">Assumptions!$B$8</f>
        <v>12</v>
      </c>
      <c r="G19" s="6" t="n">
        <f aca="false">E19*Assumptions!$B$5*12/1000*F19</f>
        <v>1296</v>
      </c>
      <c r="M19" s="6" t="n">
        <f aca="false">G19</f>
        <v>1296</v>
      </c>
      <c r="N19" s="6" t="n">
        <f aca="false">G19*Assumptions!$B$6</f>
        <v>3240</v>
      </c>
      <c r="Q19" s="6" t="n">
        <f aca="false">N19</f>
        <v>3240</v>
      </c>
    </row>
    <row r="20" customFormat="false" ht="15" hidden="false" customHeight="false" outlineLevel="0" collapsed="false">
      <c r="A20" s="7" t="s">
        <v>18</v>
      </c>
      <c r="B20" s="26" t="n">
        <f aca="false">SUM(B5:B19)</f>
        <v>21162000</v>
      </c>
      <c r="E20" s="26" t="n">
        <f aca="false">SUM(E5:E19)</f>
        <v>19756</v>
      </c>
      <c r="G20" s="8" t="n">
        <f aca="false">SUM(G5:G19)</f>
        <v>3139.488</v>
      </c>
      <c r="H20" s="26" t="n">
        <f aca="false">SUM(H5:H19)</f>
        <v>72</v>
      </c>
      <c r="J20" s="8" t="n">
        <f aca="false">SUM(J5:J19)</f>
        <v>14628</v>
      </c>
      <c r="K20" s="26" t="n">
        <f aca="false">SUM(K5:K19)</f>
        <v>180</v>
      </c>
      <c r="L20" s="8" t="n">
        <f aca="false">SUM(L5:L19)</f>
        <v>5220</v>
      </c>
      <c r="M20" s="8" t="n">
        <f aca="false">SUM(M5:M19)</f>
        <v>22987.488</v>
      </c>
      <c r="N20" s="8" t="n">
        <f aca="false">SUM(N5:N19)</f>
        <v>7848.72</v>
      </c>
      <c r="O20" s="8" t="n">
        <f aca="false">SUM(O5:O19)</f>
        <v>36570</v>
      </c>
      <c r="P20" s="8" t="n">
        <f aca="false">SUM(P5:P19)</f>
        <v>10440</v>
      </c>
      <c r="Q20" s="8" t="n">
        <f aca="false">SUM(Q5:Q19)</f>
        <v>54858.72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2026-10-07T22:04:31Z</dcterms:created>
  <dc:creator>openpyxl</dc:creator>
  <dc:description/>
  <dc:language>en-US</dc:language>
  <cp:lastModifiedBy/>
  <dcterms:modified xsi:type="dcterms:W3CDTF">2026-10-07T22:04:31Z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